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90" windowWidth="19200" windowHeight="11640"/>
  </bookViews>
  <sheets>
    <sheet name="方案一" sheetId="1" r:id="rId1"/>
    <sheet name="方案二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23" i="2" l="1"/>
  <c r="I23" i="2"/>
  <c r="F23" i="2"/>
  <c r="D23" i="2"/>
  <c r="M22" i="2"/>
  <c r="M24" i="2" s="1"/>
  <c r="I22" i="2"/>
  <c r="F22" i="2"/>
  <c r="F24" i="2" s="1"/>
  <c r="D22" i="2"/>
  <c r="M12" i="2"/>
  <c r="I12" i="2"/>
  <c r="F12" i="2"/>
  <c r="I11" i="2"/>
  <c r="H11" i="2"/>
  <c r="F11" i="2"/>
  <c r="M11" i="2" s="1"/>
  <c r="I10" i="2"/>
  <c r="H10" i="2"/>
  <c r="F10" i="2"/>
  <c r="M10" i="2" s="1"/>
  <c r="D10" i="2"/>
  <c r="I9" i="2"/>
  <c r="H9" i="2"/>
  <c r="F9" i="2"/>
  <c r="M9" i="2" s="1"/>
  <c r="D9" i="2"/>
  <c r="I8" i="2"/>
  <c r="H8" i="2"/>
  <c r="F8" i="2"/>
  <c r="M8" i="2" s="1"/>
  <c r="D8" i="2"/>
  <c r="I7" i="2"/>
  <c r="H7" i="2"/>
  <c r="F7" i="2"/>
  <c r="M7" i="2" s="1"/>
  <c r="D7" i="2"/>
  <c r="I4" i="2"/>
  <c r="H4" i="2"/>
  <c r="F4" i="2"/>
  <c r="M4" i="2" s="1"/>
  <c r="I3" i="2"/>
  <c r="H3" i="2"/>
  <c r="F3" i="2"/>
  <c r="M3" i="2" s="1"/>
  <c r="D3" i="2"/>
  <c r="I2" i="2"/>
  <c r="H2" i="2"/>
  <c r="F2" i="2"/>
  <c r="F5" i="2" s="1"/>
  <c r="D2" i="2"/>
  <c r="H16" i="2" l="1"/>
  <c r="H18" i="2" s="1"/>
  <c r="I15" i="2"/>
  <c r="J16" i="2" s="1"/>
  <c r="J2" i="2" s="1"/>
  <c r="K2" i="2" s="1"/>
  <c r="D13" i="2"/>
  <c r="M26" i="2"/>
  <c r="M25" i="2"/>
  <c r="M13" i="2"/>
  <c r="J10" i="2"/>
  <c r="K10" i="2" s="1"/>
  <c r="N10" i="2" s="1"/>
  <c r="F26" i="2"/>
  <c r="F25" i="2"/>
  <c r="J22" i="2"/>
  <c r="K22" i="2" s="1"/>
  <c r="J9" i="2"/>
  <c r="K9" i="2" s="1"/>
  <c r="N9" i="2" s="1"/>
  <c r="D5" i="2"/>
  <c r="F13" i="2"/>
  <c r="D24" i="2"/>
  <c r="M2" i="2"/>
  <c r="M5" i="2" s="1"/>
  <c r="M6" i="2" s="1"/>
  <c r="N2" i="2" l="1"/>
  <c r="L2" i="2"/>
  <c r="L10" i="2"/>
  <c r="J7" i="2"/>
  <c r="K7" i="2" s="1"/>
  <c r="J12" i="2"/>
  <c r="K12" i="2" s="1"/>
  <c r="J11" i="2"/>
  <c r="K11" i="2" s="1"/>
  <c r="N11" i="2" s="1"/>
  <c r="L9" i="2"/>
  <c r="J4" i="2"/>
  <c r="K4" i="2" s="1"/>
  <c r="N4" i="2" s="1"/>
  <c r="J8" i="2"/>
  <c r="K8" i="2" s="1"/>
  <c r="J23" i="2"/>
  <c r="K23" i="2" s="1"/>
  <c r="J3" i="2"/>
  <c r="K3" i="2" s="1"/>
  <c r="L4" i="2"/>
  <c r="L22" i="2"/>
  <c r="M14" i="2"/>
  <c r="N22" i="2"/>
  <c r="F6" i="2"/>
  <c r="D26" i="2"/>
  <c r="D25" i="2"/>
  <c r="F14" i="2"/>
  <c r="N12" i="2"/>
  <c r="L12" i="2"/>
  <c r="L11" i="2"/>
  <c r="N5" i="2" l="1"/>
  <c r="N24" i="2"/>
  <c r="N26" i="2" s="1"/>
  <c r="N14" i="2" s="1"/>
  <c r="N7" i="2"/>
  <c r="L7" i="2"/>
  <c r="N13" i="2"/>
  <c r="L3" i="2"/>
  <c r="L5" i="2" s="1"/>
  <c r="O5" i="2" s="1"/>
  <c r="P5" i="2" s="1"/>
  <c r="N3" i="2"/>
  <c r="K5" i="2"/>
  <c r="L13" i="2"/>
  <c r="L24" i="2"/>
  <c r="L26" i="2" s="1"/>
  <c r="L23" i="2"/>
  <c r="N23" i="2"/>
  <c r="K24" i="2"/>
  <c r="K13" i="2"/>
  <c r="N8" i="2"/>
  <c r="L8" i="2"/>
  <c r="F16" i="2"/>
  <c r="M16" i="2" s="1"/>
  <c r="D14" i="2"/>
  <c r="O22" i="2"/>
  <c r="P22" i="2" s="1"/>
  <c r="O13" i="2"/>
  <c r="P13" i="2" s="1"/>
  <c r="D6" i="2"/>
  <c r="L14" i="2" l="1"/>
  <c r="N25" i="2"/>
  <c r="N6" i="2" s="1"/>
  <c r="K25" i="2"/>
  <c r="K6" i="2" s="1"/>
  <c r="K26" i="2"/>
  <c r="K14" i="2" s="1"/>
  <c r="O14" i="2" s="1"/>
  <c r="L25" i="2"/>
  <c r="O23" i="2"/>
  <c r="P23" i="2" s="1"/>
  <c r="L6" i="2"/>
  <c r="O6" i="2" l="1"/>
  <c r="P6" i="2" s="1"/>
  <c r="O26" i="2"/>
  <c r="P26" i="2" s="1"/>
  <c r="O25" i="2"/>
  <c r="P25" i="2" s="1"/>
  <c r="O16" i="2"/>
  <c r="Q6" i="2"/>
  <c r="Q14" i="2"/>
  <c r="R14" i="2"/>
  <c r="P14" i="2"/>
  <c r="S14" i="2" s="1"/>
  <c r="R6" i="2" l="1"/>
  <c r="S6" i="2"/>
  <c r="S16" i="2" s="1"/>
  <c r="P16" i="2"/>
  <c r="I22" i="1" l="1"/>
  <c r="J22" i="1" s="1"/>
  <c r="I23" i="1"/>
  <c r="J23" i="1" s="1"/>
  <c r="I24" i="1" l="1"/>
  <c r="F5" i="1"/>
  <c r="F24" i="1"/>
  <c r="I12" i="1"/>
  <c r="J12" i="1" s="1"/>
  <c r="F12" i="1"/>
  <c r="M12" i="1" s="1"/>
  <c r="F23" i="1"/>
  <c r="M23" i="1" s="1"/>
  <c r="D23" i="1"/>
  <c r="F22" i="1"/>
  <c r="M22" i="1" s="1"/>
  <c r="M24" i="1" s="1"/>
  <c r="D22" i="1"/>
  <c r="D24" i="1" s="1"/>
  <c r="I11" i="1"/>
  <c r="J11" i="1" s="1"/>
  <c r="H11" i="1"/>
  <c r="F11" i="1"/>
  <c r="M11" i="1" s="1"/>
  <c r="I10" i="1"/>
  <c r="J10" i="1" s="1"/>
  <c r="H10" i="1"/>
  <c r="F10" i="1"/>
  <c r="M10" i="1" s="1"/>
  <c r="D10" i="1"/>
  <c r="I9" i="1"/>
  <c r="J9" i="1" s="1"/>
  <c r="H9" i="1"/>
  <c r="F9" i="1"/>
  <c r="M9" i="1" s="1"/>
  <c r="D9" i="1"/>
  <c r="I8" i="1"/>
  <c r="J8" i="1" s="1"/>
  <c r="H8" i="1"/>
  <c r="F8" i="1"/>
  <c r="M8" i="1" s="1"/>
  <c r="D8" i="1"/>
  <c r="I7" i="1"/>
  <c r="J7" i="1" s="1"/>
  <c r="H7" i="1"/>
  <c r="F7" i="1"/>
  <c r="M7" i="1" s="1"/>
  <c r="M13" i="1" s="1"/>
  <c r="D7" i="1"/>
  <c r="I4" i="1"/>
  <c r="J4" i="1" s="1"/>
  <c r="H4" i="1"/>
  <c r="F4" i="1"/>
  <c r="M4" i="1" s="1"/>
  <c r="I3" i="1"/>
  <c r="J3" i="1" s="1"/>
  <c r="H3" i="1"/>
  <c r="F3" i="1"/>
  <c r="M3" i="1" s="1"/>
  <c r="D3" i="1"/>
  <c r="I2" i="1"/>
  <c r="H2" i="1"/>
  <c r="H16" i="1" s="1"/>
  <c r="H18" i="1" s="1"/>
  <c r="F2" i="1"/>
  <c r="M2" i="1" s="1"/>
  <c r="M5" i="1" s="1"/>
  <c r="D2" i="1"/>
  <c r="D25" i="1" l="1"/>
  <c r="D26" i="1"/>
  <c r="M25" i="1"/>
  <c r="M26" i="1"/>
  <c r="M14" i="1" s="1"/>
  <c r="N9" i="1"/>
  <c r="L9" i="1"/>
  <c r="F13" i="1"/>
  <c r="I26" i="1"/>
  <c r="I25" i="1"/>
  <c r="L23" i="1"/>
  <c r="D13" i="1"/>
  <c r="D5" i="1"/>
  <c r="N22" i="1"/>
  <c r="I15" i="1"/>
  <c r="J2" i="1"/>
  <c r="F25" i="1"/>
  <c r="F26" i="1"/>
  <c r="D14" i="1"/>
  <c r="K22" i="1"/>
  <c r="L22" i="1" s="1"/>
  <c r="K12" i="1"/>
  <c r="K8" i="1"/>
  <c r="N8" i="1" s="1"/>
  <c r="K11" i="1"/>
  <c r="K23" i="1"/>
  <c r="N23" i="1" s="1"/>
  <c r="K4" i="1"/>
  <c r="K7" i="1"/>
  <c r="L7" i="1" s="1"/>
  <c r="K9" i="1"/>
  <c r="K24" i="1"/>
  <c r="K10" i="1"/>
  <c r="N10" i="1" s="1"/>
  <c r="K3" i="1"/>
  <c r="L3" i="1" s="1"/>
  <c r="N3" i="1" l="1"/>
  <c r="N7" i="1"/>
  <c r="N4" i="1"/>
  <c r="L4" i="1"/>
  <c r="N12" i="1"/>
  <c r="L12" i="1"/>
  <c r="F14" i="1"/>
  <c r="K25" i="1"/>
  <c r="K26" i="1"/>
  <c r="L10" i="1"/>
  <c r="L8" i="1"/>
  <c r="N11" i="1"/>
  <c r="L11" i="1"/>
  <c r="L13" i="1"/>
  <c r="L24" i="1"/>
  <c r="K2" i="1"/>
  <c r="K13" i="1"/>
  <c r="K14" i="1" s="1"/>
  <c r="N2" i="1" l="1"/>
  <c r="L2" i="1"/>
  <c r="L25" i="1"/>
  <c r="L26" i="1"/>
  <c r="L14" i="1" s="1"/>
  <c r="K5" i="1"/>
  <c r="K6" i="1" s="1"/>
  <c r="L5" i="1"/>
  <c r="F6" i="1"/>
  <c r="F16" i="1" s="1"/>
  <c r="F18" i="1" s="1"/>
  <c r="N24" i="1"/>
  <c r="N13" i="1"/>
  <c r="D6" i="1"/>
  <c r="D16" i="1" s="1"/>
  <c r="M6" i="1"/>
  <c r="N26" i="1" l="1"/>
  <c r="N25" i="1"/>
  <c r="L6" i="1"/>
  <c r="N5" i="1"/>
  <c r="O5" i="1" s="1"/>
  <c r="P5" i="1" s="1"/>
  <c r="N14" i="1"/>
  <c r="O14" i="1" s="1"/>
  <c r="O13" i="1"/>
  <c r="P13" i="1" s="1"/>
  <c r="P14" i="1" l="1"/>
  <c r="S14" i="1" s="1"/>
  <c r="R14" i="1"/>
  <c r="Q14" i="1"/>
  <c r="N6" i="1"/>
  <c r="O6" i="1" s="1"/>
  <c r="R6" i="1" l="1"/>
  <c r="Q6" i="1"/>
  <c r="P6" i="1"/>
  <c r="S6" i="1" s="1"/>
  <c r="S16" i="1" s="1"/>
  <c r="O16" i="1"/>
  <c r="P16" i="1" l="1"/>
</calcChain>
</file>

<file path=xl/sharedStrings.xml><?xml version="1.0" encoding="utf-8"?>
<sst xmlns="http://schemas.openxmlformats.org/spreadsheetml/2006/main" count="67" uniqueCount="60">
  <si>
    <t>面积</t>
    <phoneticPr fontId="3" type="noConversion"/>
  </si>
  <si>
    <t>套</t>
    <phoneticPr fontId="3" type="noConversion"/>
  </si>
  <si>
    <t>成本</t>
    <phoneticPr fontId="3" type="noConversion"/>
  </si>
  <si>
    <t>售价</t>
    <phoneticPr fontId="3" type="noConversion"/>
  </si>
  <si>
    <t>卖出收入</t>
    <phoneticPr fontId="3" type="noConversion"/>
  </si>
  <si>
    <t>建筑面积</t>
    <phoneticPr fontId="3" type="noConversion"/>
  </si>
  <si>
    <t>用地价格</t>
    <phoneticPr fontId="3" type="noConversion"/>
  </si>
  <si>
    <t>开发费用</t>
    <phoneticPr fontId="3" type="noConversion"/>
  </si>
  <si>
    <t>房产转让税</t>
    <phoneticPr fontId="3" type="noConversion"/>
  </si>
  <si>
    <t>其他扣除项目</t>
    <phoneticPr fontId="3" type="noConversion"/>
  </si>
  <si>
    <t>毛利润</t>
    <phoneticPr fontId="3" type="noConversion"/>
  </si>
  <si>
    <t>总建筑面积</t>
    <phoneticPr fontId="3" type="noConversion"/>
  </si>
  <si>
    <t>土地款</t>
    <phoneticPr fontId="3" type="noConversion"/>
  </si>
  <si>
    <t>扣减金额</t>
    <phoneticPr fontId="3" type="noConversion"/>
  </si>
  <si>
    <t>土地面积</t>
    <phoneticPr fontId="3" type="noConversion"/>
  </si>
  <si>
    <t>增值额</t>
    <phoneticPr fontId="3" type="noConversion"/>
  </si>
  <si>
    <t>容积率</t>
    <phoneticPr fontId="3" type="noConversion"/>
  </si>
  <si>
    <t>普通总金额</t>
    <phoneticPr fontId="1" type="noConversion"/>
  </si>
  <si>
    <t>普通加其他总金额</t>
    <phoneticPr fontId="1" type="noConversion"/>
  </si>
  <si>
    <t>非普通总金额</t>
    <phoneticPr fontId="1" type="noConversion"/>
  </si>
  <si>
    <t>非普通加其他总金额</t>
    <phoneticPr fontId="1" type="noConversion"/>
  </si>
  <si>
    <t>扣金</t>
    <phoneticPr fontId="1" type="noConversion"/>
  </si>
  <si>
    <t>增值额</t>
    <phoneticPr fontId="1" type="noConversion"/>
  </si>
  <si>
    <t>总成本（减去不扣除金额）</t>
    <phoneticPr fontId="3" type="noConversion"/>
  </si>
  <si>
    <t>扣金总额</t>
    <phoneticPr fontId="1" type="noConversion"/>
  </si>
  <si>
    <t>增值总额</t>
    <phoneticPr fontId="1" type="noConversion"/>
  </si>
  <si>
    <t>开发成本</t>
    <phoneticPr fontId="3" type="noConversion"/>
  </si>
  <si>
    <t>按比例分摊给普通宅的部分</t>
    <phoneticPr fontId="1" type="noConversion"/>
  </si>
  <si>
    <t>按比例分摊给非普通宅的部分</t>
    <phoneticPr fontId="1" type="noConversion"/>
  </si>
  <si>
    <t>总建筑面积</t>
    <phoneticPr fontId="1" type="noConversion"/>
  </si>
  <si>
    <t>扣除项目金额*50%</t>
    <phoneticPr fontId="1" type="noConversion"/>
  </si>
  <si>
    <t>扣除项目金额*200%</t>
    <phoneticPr fontId="1" type="noConversion"/>
  </si>
  <si>
    <t>增值税</t>
    <phoneticPr fontId="1" type="noConversion"/>
  </si>
  <si>
    <t>增值税总额</t>
    <phoneticPr fontId="1" type="noConversion"/>
  </si>
  <si>
    <t>面积</t>
    <phoneticPr fontId="9" type="noConversion"/>
  </si>
  <si>
    <t>套</t>
    <phoneticPr fontId="9" type="noConversion"/>
  </si>
  <si>
    <t>成本</t>
    <phoneticPr fontId="9" type="noConversion"/>
  </si>
  <si>
    <t>开发成本</t>
    <phoneticPr fontId="9" type="noConversion"/>
  </si>
  <si>
    <t>售价</t>
    <phoneticPr fontId="9" type="noConversion"/>
  </si>
  <si>
    <t>卖出收入</t>
    <phoneticPr fontId="9" type="noConversion"/>
  </si>
  <si>
    <t>建筑面积</t>
    <phoneticPr fontId="9" type="noConversion"/>
  </si>
  <si>
    <t>用地价格</t>
    <phoneticPr fontId="9" type="noConversion"/>
  </si>
  <si>
    <t>开发费用</t>
    <phoneticPr fontId="9" type="noConversion"/>
  </si>
  <si>
    <t>房产转让税</t>
    <phoneticPr fontId="9" type="noConversion"/>
  </si>
  <si>
    <t>其他扣除项目</t>
    <phoneticPr fontId="9" type="noConversion"/>
  </si>
  <si>
    <t>普通总金额</t>
    <phoneticPr fontId="1" type="noConversion"/>
  </si>
  <si>
    <t>普通加其他总金额</t>
    <phoneticPr fontId="1" type="noConversion"/>
  </si>
  <si>
    <t>非普通总金额</t>
    <phoneticPr fontId="1" type="noConversion"/>
  </si>
  <si>
    <t>非普通加其他总金额</t>
    <phoneticPr fontId="1" type="noConversion"/>
  </si>
  <si>
    <t>扣金总额</t>
    <phoneticPr fontId="1" type="noConversion"/>
  </si>
  <si>
    <t>增值总额</t>
    <phoneticPr fontId="1" type="noConversion"/>
  </si>
  <si>
    <t>增值税总额</t>
    <phoneticPr fontId="1" type="noConversion"/>
  </si>
  <si>
    <t>毛利润</t>
    <phoneticPr fontId="9" type="noConversion"/>
  </si>
  <si>
    <t>总建筑面积</t>
    <phoneticPr fontId="9" type="noConversion"/>
  </si>
  <si>
    <t>总建筑面积</t>
    <phoneticPr fontId="1" type="noConversion"/>
  </si>
  <si>
    <t>土地款</t>
    <phoneticPr fontId="9" type="noConversion"/>
  </si>
  <si>
    <t>土地面积</t>
    <phoneticPr fontId="9" type="noConversion"/>
  </si>
  <si>
    <t>容积率</t>
    <phoneticPr fontId="9" type="noConversion"/>
  </si>
  <si>
    <t>按比例分摊给普通宅的部分</t>
    <phoneticPr fontId="1" type="noConversion"/>
  </si>
  <si>
    <t>按比例分摊给非普通宅的部分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</si>
</sst>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0.000000000000000_ "/>
    <numFmt numFmtId="178" formatCode="0.0000000_ "/>
    <numFmt numFmtId="179" formatCode="0.000_ "/>
    <numFmt numFmtId="180" formatCode="0.000000_ 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charset val="134"/>
    </font>
    <font>
      <sz val="11"/>
      <color rgb="FF0070C0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color rgb="FF00B050"/>
      <name val="宋体"/>
      <family val="2"/>
      <charset val="134"/>
      <scheme val="minor"/>
    </font>
    <font>
      <sz val="11"/>
      <color rgb="FF7030A0"/>
      <name val="宋体"/>
      <family val="2"/>
      <charset val="134"/>
      <scheme val="minor"/>
    </font>
    <font>
      <sz val="11"/>
      <color rgb="FF7030A0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180" fontId="8" fillId="0" borderId="0" xfId="0" applyNumberFormat="1" applyFont="1" applyBorder="1" applyAlignment="1">
      <alignment horizontal="center" vertical="center"/>
    </xf>
    <xf numFmtId="179" fontId="8" fillId="0" borderId="0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workbookViewId="0">
      <selection sqref="A1:S27"/>
    </sheetView>
  </sheetViews>
  <sheetFormatPr defaultRowHeight="13.5"/>
  <cols>
    <col min="1" max="1" width="5.25" customWidth="1"/>
    <col min="2" max="2" width="4.5" bestFit="1" customWidth="1"/>
    <col min="4" max="4" width="11.625" bestFit="1" customWidth="1"/>
    <col min="6" max="6" width="15" bestFit="1" customWidth="1"/>
    <col min="9" max="9" width="11" bestFit="1" customWidth="1"/>
    <col min="10" max="10" width="21.625" bestFit="1" customWidth="1"/>
    <col min="11" max="12" width="12.75" bestFit="1" customWidth="1"/>
    <col min="13" max="13" width="11" bestFit="1" customWidth="1"/>
    <col min="14" max="14" width="13" bestFit="1" customWidth="1"/>
    <col min="15" max="15" width="12.75" bestFit="1" customWidth="1"/>
    <col min="16" max="16" width="11.625" bestFit="1" customWidth="1"/>
    <col min="17" max="18" width="17.5" style="3" bestFit="1" customWidth="1"/>
    <col min="19" max="19" width="19.375" style="4" bestFit="1" customWidth="1"/>
    <col min="20" max="20" width="10.5" style="3" bestFit="1" customWidth="1"/>
  </cols>
  <sheetData>
    <row r="1" spans="1:20">
      <c r="A1" s="5" t="s">
        <v>0</v>
      </c>
      <c r="B1" s="5" t="s">
        <v>1</v>
      </c>
      <c r="C1" s="5" t="s">
        <v>2</v>
      </c>
      <c r="D1" s="5" t="s">
        <v>26</v>
      </c>
      <c r="E1" s="5" t="s">
        <v>3</v>
      </c>
      <c r="F1" s="5" t="s">
        <v>4</v>
      </c>
      <c r="G1" s="5"/>
      <c r="H1" s="5" t="s">
        <v>5</v>
      </c>
      <c r="I1" s="5" t="s">
        <v>5</v>
      </c>
      <c r="J1" s="5"/>
      <c r="K1" s="5" t="s">
        <v>6</v>
      </c>
      <c r="L1" s="5" t="s">
        <v>7</v>
      </c>
      <c r="M1" s="5" t="s">
        <v>8</v>
      </c>
      <c r="N1" s="5" t="s">
        <v>9</v>
      </c>
      <c r="O1" s="5" t="s">
        <v>21</v>
      </c>
      <c r="P1" s="5" t="s">
        <v>22</v>
      </c>
      <c r="Q1" s="19" t="s">
        <v>30</v>
      </c>
      <c r="R1" s="19" t="s">
        <v>31</v>
      </c>
      <c r="S1" s="19" t="s">
        <v>32</v>
      </c>
    </row>
    <row r="2" spans="1:20">
      <c r="A2" s="5">
        <v>77</v>
      </c>
      <c r="B2" s="5">
        <v>250</v>
      </c>
      <c r="C2" s="5">
        <v>4263</v>
      </c>
      <c r="D2" s="5">
        <f>A2*B2*C2</f>
        <v>82062750</v>
      </c>
      <c r="E2" s="5">
        <v>12000</v>
      </c>
      <c r="F2" s="5">
        <f>A2*B2*E2</f>
        <v>231000000</v>
      </c>
      <c r="G2" s="5"/>
      <c r="H2" s="5">
        <f>A2*B2</f>
        <v>19250</v>
      </c>
      <c r="I2" s="5">
        <f>A2*B2</f>
        <v>19250</v>
      </c>
      <c r="J2" s="5">
        <f>I2/$J$16</f>
        <v>6.948831332912192E-2</v>
      </c>
      <c r="K2" s="5">
        <f>J2*777179627</f>
        <v>54004901.433986105</v>
      </c>
      <c r="L2" s="5">
        <f>(D2+K2)*0.09</f>
        <v>12246088.629058748</v>
      </c>
      <c r="M2" s="5">
        <f>F2*0.0565</f>
        <v>13051500</v>
      </c>
      <c r="N2" s="5">
        <f>(D2+K2)*0.2</f>
        <v>27213530.286797222</v>
      </c>
      <c r="O2" s="5"/>
      <c r="P2" s="5"/>
      <c r="Q2" s="19"/>
      <c r="R2" s="19"/>
      <c r="S2" s="19"/>
    </row>
    <row r="3" spans="1:20">
      <c r="A3" s="5">
        <v>98</v>
      </c>
      <c r="B3" s="5">
        <v>250</v>
      </c>
      <c r="C3" s="5">
        <v>4323</v>
      </c>
      <c r="D3" s="5">
        <f t="shared" ref="D3" si="0">A3*B3*C3</f>
        <v>105913500</v>
      </c>
      <c r="E3" s="5">
        <v>10800</v>
      </c>
      <c r="F3" s="5">
        <f t="shared" ref="F3:F12" si="1">A3*B3*E3</f>
        <v>264600000</v>
      </c>
      <c r="G3" s="5"/>
      <c r="H3" s="5">
        <f t="shared" ref="H3:H4" si="2">A3*B3</f>
        <v>24500</v>
      </c>
      <c r="I3" s="5">
        <f t="shared" ref="I3:I12" si="3">A3*B3</f>
        <v>24500</v>
      </c>
      <c r="J3" s="5">
        <f>I3/$J$16</f>
        <v>8.843967150979154E-2</v>
      </c>
      <c r="K3" s="5">
        <f t="shared" ref="K3:K12" si="4">J3*777179627</f>
        <v>68733510.915982321</v>
      </c>
      <c r="L3" s="5">
        <f t="shared" ref="L3:L4" si="5">(D3+K3)*0.09</f>
        <v>15718230.982438408</v>
      </c>
      <c r="M3" s="5">
        <f t="shared" ref="M3:M12" si="6">F3*0.0565</f>
        <v>14949900</v>
      </c>
      <c r="N3" s="5">
        <f t="shared" ref="N3:N4" si="7">(D3+K3)*0.2</f>
        <v>34929402.183196463</v>
      </c>
      <c r="O3" s="5"/>
      <c r="P3" s="5"/>
      <c r="Q3" s="19"/>
      <c r="R3" s="19"/>
      <c r="S3" s="19"/>
    </row>
    <row r="4" spans="1:20">
      <c r="A4" s="5">
        <v>117</v>
      </c>
      <c r="B4" s="5">
        <v>150</v>
      </c>
      <c r="C4" s="5">
        <v>4532</v>
      </c>
      <c r="D4" s="19"/>
      <c r="E4" s="5">
        <v>11200</v>
      </c>
      <c r="F4" s="5">
        <f t="shared" si="1"/>
        <v>196560000</v>
      </c>
      <c r="G4" s="5"/>
      <c r="H4" s="5">
        <f t="shared" si="2"/>
        <v>17550</v>
      </c>
      <c r="I4" s="5">
        <f t="shared" si="3"/>
        <v>17550</v>
      </c>
      <c r="J4" s="5">
        <f>I4/$J$16</f>
        <v>6.3351683061095565E-2</v>
      </c>
      <c r="K4" s="5">
        <f t="shared" si="4"/>
        <v>49235637.411244467</v>
      </c>
      <c r="L4" s="5">
        <f t="shared" si="5"/>
        <v>4431207.3670120016</v>
      </c>
      <c r="M4" s="5">
        <f>F4*0.0565</f>
        <v>11105640</v>
      </c>
      <c r="N4" s="5">
        <f t="shared" si="7"/>
        <v>9847127.482248893</v>
      </c>
      <c r="O4" s="5"/>
      <c r="P4" s="5"/>
      <c r="Q4" s="19"/>
      <c r="R4" s="19"/>
      <c r="S4" s="19"/>
    </row>
    <row r="5" spans="1:20" s="1" customFormat="1">
      <c r="A5" s="6" t="s">
        <v>17</v>
      </c>
      <c r="B5" s="6"/>
      <c r="C5" s="6"/>
      <c r="D5" s="6">
        <f>SUM(D2:D4)</f>
        <v>187976250</v>
      </c>
      <c r="E5" s="6"/>
      <c r="F5" s="6">
        <f t="shared" ref="F5:N5" si="8">SUM(F2:F4)</f>
        <v>692160000</v>
      </c>
      <c r="G5" s="6"/>
      <c r="H5" s="6"/>
      <c r="I5" s="6"/>
      <c r="J5" s="7">
        <v>0.25307049231086798</v>
      </c>
      <c r="K5" s="6">
        <f t="shared" si="8"/>
        <v>171974049.76121289</v>
      </c>
      <c r="L5" s="6">
        <f t="shared" si="8"/>
        <v>32395526.978509158</v>
      </c>
      <c r="M5" s="6">
        <f t="shared" si="8"/>
        <v>39107040</v>
      </c>
      <c r="N5" s="6">
        <f t="shared" si="8"/>
        <v>71990059.952242568</v>
      </c>
      <c r="O5" s="6">
        <f>D5+K5+L5+M5+N5</f>
        <v>503442926.69196457</v>
      </c>
      <c r="P5" s="6">
        <f>F5-O5</f>
        <v>188717073.30803543</v>
      </c>
      <c r="Q5" s="20"/>
      <c r="R5" s="20"/>
      <c r="S5" s="20"/>
    </row>
    <row r="6" spans="1:20" s="2" customFormat="1">
      <c r="A6" s="8" t="s">
        <v>18</v>
      </c>
      <c r="B6" s="8"/>
      <c r="C6" s="8"/>
      <c r="D6" s="8">
        <f>D5+D25</f>
        <v>212055704.88698524</v>
      </c>
      <c r="E6" s="8"/>
      <c r="F6" s="8">
        <f>F5+F25</f>
        <v>750482625.65796268</v>
      </c>
      <c r="G6" s="8"/>
      <c r="H6" s="8"/>
      <c r="I6" s="8"/>
      <c r="J6" s="6"/>
      <c r="K6" s="8">
        <f t="shared" ref="K6:N6" si="9">K5+K25</f>
        <v>196681230.81886676</v>
      </c>
      <c r="L6" s="8">
        <f t="shared" si="9"/>
        <v>36786324.213526681</v>
      </c>
      <c r="M6" s="8">
        <f>M5+M25</f>
        <v>42402268.349674888</v>
      </c>
      <c r="N6" s="8">
        <f t="shared" si="9"/>
        <v>81747387.141170382</v>
      </c>
      <c r="O6" s="8">
        <f>D6+K6+L6+M6+N6</f>
        <v>569672915.41022396</v>
      </c>
      <c r="P6" s="8">
        <f>F6-O6</f>
        <v>180809710.24773872</v>
      </c>
      <c r="Q6" s="20">
        <f t="shared" ref="Q6:Q14" si="10">O6/2</f>
        <v>284836457.70511198</v>
      </c>
      <c r="R6" s="20">
        <f>O6*2</f>
        <v>1139345830.8204479</v>
      </c>
      <c r="S6" s="21">
        <f>P6*0.3</f>
        <v>54242913.074321613</v>
      </c>
    </row>
    <row r="7" spans="1:20">
      <c r="A7" s="5">
        <v>145</v>
      </c>
      <c r="B7" s="5">
        <v>250</v>
      </c>
      <c r="C7" s="5">
        <v>5288</v>
      </c>
      <c r="D7" s="5">
        <f>A7*B7*C7</f>
        <v>191690000</v>
      </c>
      <c r="E7" s="5">
        <v>12800</v>
      </c>
      <c r="F7" s="5">
        <f>A7*B7*E7</f>
        <v>464000000</v>
      </c>
      <c r="G7" s="5"/>
      <c r="H7" s="5">
        <f>A7*B7</f>
        <v>36250</v>
      </c>
      <c r="I7" s="5">
        <f>A7*B7</f>
        <v>36250</v>
      </c>
      <c r="J7" s="5">
        <f t="shared" ref="J7:J12" si="11">I7/$J$16</f>
        <v>0.13085461600938544</v>
      </c>
      <c r="K7" s="5">
        <f>J7*777179627</f>
        <v>101697541.6614024</v>
      </c>
      <c r="L7" s="5">
        <f>(D7+K7)*0.09</f>
        <v>26404878.749526214</v>
      </c>
      <c r="M7" s="5">
        <f>F7*0.0565</f>
        <v>26216000</v>
      </c>
      <c r="N7" s="5">
        <f>(D7+K7)*0.2</f>
        <v>58677508.332280487</v>
      </c>
      <c r="O7" s="8"/>
      <c r="P7" s="20"/>
      <c r="Q7" s="20"/>
      <c r="R7" s="19"/>
      <c r="S7" s="19"/>
    </row>
    <row r="8" spans="1:20">
      <c r="A8" s="5">
        <v>156</v>
      </c>
      <c r="B8" s="5">
        <v>250</v>
      </c>
      <c r="C8" s="5">
        <v>5268</v>
      </c>
      <c r="D8" s="5">
        <f>A8*B8*C8</f>
        <v>205452000</v>
      </c>
      <c r="E8" s="5">
        <v>12800</v>
      </c>
      <c r="F8" s="5">
        <f>A8*B8*E8</f>
        <v>499200000</v>
      </c>
      <c r="G8" s="5"/>
      <c r="H8" s="5">
        <f>A8*B8</f>
        <v>39000</v>
      </c>
      <c r="I8" s="5">
        <f>A8*B8</f>
        <v>39000</v>
      </c>
      <c r="J8" s="5">
        <f t="shared" si="11"/>
        <v>0.14078151791354571</v>
      </c>
      <c r="K8" s="5">
        <f>J8*777179627</f>
        <v>109412527.58054326</v>
      </c>
      <c r="L8" s="5">
        <f t="shared" ref="L8:L12" si="12">(D8+K8)*0.09</f>
        <v>28337807.482248895</v>
      </c>
      <c r="M8" s="5">
        <f>F8*0.0565</f>
        <v>28204800</v>
      </c>
      <c r="N8" s="5">
        <f t="shared" ref="N8:N12" si="13">(D8+K8)*0.2</f>
        <v>62972905.516108662</v>
      </c>
      <c r="O8" s="8"/>
      <c r="P8" s="8"/>
      <c r="Q8" s="20"/>
      <c r="R8" s="19"/>
      <c r="S8" s="19"/>
    </row>
    <row r="9" spans="1:20">
      <c r="A9" s="5">
        <v>167</v>
      </c>
      <c r="B9" s="5">
        <v>250</v>
      </c>
      <c r="C9" s="5">
        <v>5533</v>
      </c>
      <c r="D9" s="5">
        <f>A9*B9*C9</f>
        <v>231002750</v>
      </c>
      <c r="E9" s="5">
        <v>13600</v>
      </c>
      <c r="F9" s="5">
        <f>A9*B9*E9</f>
        <v>567800000</v>
      </c>
      <c r="G9" s="5"/>
      <c r="H9" s="5">
        <f>A9*B9</f>
        <v>41750</v>
      </c>
      <c r="I9" s="5">
        <f>A9*B9</f>
        <v>41750</v>
      </c>
      <c r="J9" s="5">
        <f t="shared" si="11"/>
        <v>0.150708419817706</v>
      </c>
      <c r="K9" s="5">
        <f>J9*777179627</f>
        <v>117127513.49968415</v>
      </c>
      <c r="L9" s="5">
        <f t="shared" si="12"/>
        <v>31331723.714971572</v>
      </c>
      <c r="M9" s="5">
        <f>F9*0.0565</f>
        <v>32080700</v>
      </c>
      <c r="N9" s="5">
        <f t="shared" si="13"/>
        <v>69626052.699936837</v>
      </c>
      <c r="O9" s="8"/>
      <c r="P9" s="8"/>
      <c r="Q9" s="20"/>
      <c r="R9" s="19"/>
      <c r="S9" s="19"/>
    </row>
    <row r="10" spans="1:20">
      <c r="A10" s="5">
        <v>178</v>
      </c>
      <c r="B10" s="5">
        <v>250</v>
      </c>
      <c r="C10" s="5">
        <v>5685</v>
      </c>
      <c r="D10" s="5">
        <f>A10*B10*C10</f>
        <v>252982500</v>
      </c>
      <c r="E10" s="5">
        <v>14000</v>
      </c>
      <c r="F10" s="5">
        <f>A10*B10*E10</f>
        <v>623000000</v>
      </c>
      <c r="G10" s="5"/>
      <c r="H10" s="5">
        <f>A10*B10</f>
        <v>44500</v>
      </c>
      <c r="I10" s="5">
        <f>A10*B10</f>
        <v>44500</v>
      </c>
      <c r="J10" s="5">
        <f t="shared" si="11"/>
        <v>0.16063532172186626</v>
      </c>
      <c r="K10" s="5">
        <f>J10*777179627</f>
        <v>124842499.41882502</v>
      </c>
      <c r="L10" s="5">
        <f t="shared" si="12"/>
        <v>34004249.947694249</v>
      </c>
      <c r="M10" s="5">
        <f>F10*0.0565</f>
        <v>35199500</v>
      </c>
      <c r="N10" s="5">
        <f t="shared" si="13"/>
        <v>75564999.883765012</v>
      </c>
      <c r="O10" s="8"/>
      <c r="P10" s="8"/>
      <c r="Q10" s="20"/>
      <c r="R10" s="19"/>
      <c r="S10" s="19"/>
    </row>
    <row r="11" spans="1:20">
      <c r="A11" s="5">
        <v>126</v>
      </c>
      <c r="B11" s="5">
        <v>75</v>
      </c>
      <c r="C11" s="5">
        <v>4323</v>
      </c>
      <c r="D11" s="19"/>
      <c r="E11" s="5">
        <v>10400</v>
      </c>
      <c r="F11" s="5">
        <f>A11*B11*E11</f>
        <v>98280000</v>
      </c>
      <c r="G11" s="5"/>
      <c r="H11" s="5">
        <f>A11*B11</f>
        <v>9450</v>
      </c>
      <c r="I11" s="5">
        <f>A11*B11</f>
        <v>9450</v>
      </c>
      <c r="J11" s="5">
        <f t="shared" si="11"/>
        <v>3.4112444725205304E-2</v>
      </c>
      <c r="K11" s="5">
        <f>J11*777179627</f>
        <v>26511497.067593176</v>
      </c>
      <c r="L11" s="5">
        <f t="shared" si="12"/>
        <v>2386034.7360833855</v>
      </c>
      <c r="M11" s="5">
        <f>F11*0.0565</f>
        <v>5552820</v>
      </c>
      <c r="N11" s="5">
        <f t="shared" si="13"/>
        <v>5302299.4135186356</v>
      </c>
      <c r="O11" s="8"/>
      <c r="P11" s="8"/>
      <c r="Q11" s="20"/>
      <c r="R11" s="19"/>
      <c r="S11" s="19"/>
    </row>
    <row r="12" spans="1:20">
      <c r="A12" s="5">
        <v>133</v>
      </c>
      <c r="B12" s="5">
        <v>75</v>
      </c>
      <c r="C12" s="5">
        <v>2982</v>
      </c>
      <c r="D12" s="19"/>
      <c r="E12" s="5">
        <v>7200</v>
      </c>
      <c r="F12" s="5">
        <f t="shared" si="1"/>
        <v>71820000</v>
      </c>
      <c r="G12" s="5"/>
      <c r="H12" s="5"/>
      <c r="I12" s="5">
        <f t="shared" si="3"/>
        <v>9975</v>
      </c>
      <c r="J12" s="5">
        <f t="shared" si="11"/>
        <v>3.6007580543272265E-2</v>
      </c>
      <c r="K12" s="5">
        <f t="shared" si="4"/>
        <v>27984358.015792795</v>
      </c>
      <c r="L12" s="5">
        <f t="shared" si="12"/>
        <v>2518592.2214213512</v>
      </c>
      <c r="M12" s="5">
        <f t="shared" si="6"/>
        <v>4057830</v>
      </c>
      <c r="N12" s="5">
        <f t="shared" si="13"/>
        <v>5596871.6031585597</v>
      </c>
      <c r="O12" s="8"/>
      <c r="P12" s="8"/>
      <c r="Q12" s="20"/>
      <c r="R12" s="19"/>
      <c r="S12" s="19"/>
    </row>
    <row r="13" spans="1:20" s="1" customFormat="1">
      <c r="A13" s="6" t="s">
        <v>19</v>
      </c>
      <c r="B13" s="6"/>
      <c r="C13" s="6"/>
      <c r="D13" s="6">
        <f>SUM(D7:D12)</f>
        <v>881127250</v>
      </c>
      <c r="E13" s="6"/>
      <c r="F13" s="6">
        <f t="shared" ref="F13:N13" si="14">SUM(F7:F12)</f>
        <v>2324100000</v>
      </c>
      <c r="G13" s="6"/>
      <c r="H13" s="6"/>
      <c r="I13" s="6"/>
      <c r="J13" s="7">
        <v>0.74692950768913202</v>
      </c>
      <c r="K13" s="6">
        <f t="shared" si="14"/>
        <v>507575937.24384081</v>
      </c>
      <c r="L13" s="6">
        <f t="shared" si="14"/>
        <v>124983286.85194565</v>
      </c>
      <c r="M13" s="6">
        <f t="shared" si="14"/>
        <v>131311650</v>
      </c>
      <c r="N13" s="6">
        <f t="shared" si="14"/>
        <v>277740637.44876814</v>
      </c>
      <c r="O13" s="6">
        <f t="shared" ref="O13:O14" si="15">D13+K13+L13+M13+N13</f>
        <v>1922738761.5445545</v>
      </c>
      <c r="P13" s="6">
        <f t="shared" ref="P13:P14" si="16">F13-O13</f>
        <v>401361238.45544553</v>
      </c>
      <c r="Q13" s="20"/>
      <c r="R13" s="20"/>
      <c r="S13" s="20"/>
    </row>
    <row r="14" spans="1:20" s="2" customFormat="1">
      <c r="A14" s="8" t="s">
        <v>20</v>
      </c>
      <c r="B14" s="8"/>
      <c r="C14" s="8"/>
      <c r="D14" s="8">
        <f>D13+D26</f>
        <v>952196995.1130147</v>
      </c>
      <c r="E14" s="8"/>
      <c r="F14" s="8">
        <f>F13+F26</f>
        <v>2496237374.3420372</v>
      </c>
      <c r="G14" s="8"/>
      <c r="H14" s="8"/>
      <c r="I14" s="8"/>
      <c r="J14" s="6"/>
      <c r="K14" s="8">
        <f t="shared" ref="K14:N14" si="17">K13+K26</f>
        <v>580498396.18113327</v>
      </c>
      <c r="L14" s="8">
        <f t="shared" si="17"/>
        <v>137942585.21647331</v>
      </c>
      <c r="M14" s="8">
        <f t="shared" si="17"/>
        <v>141037411.65032512</v>
      </c>
      <c r="N14" s="8">
        <f t="shared" si="17"/>
        <v>306539078.25882959</v>
      </c>
      <c r="O14" s="8">
        <f t="shared" si="15"/>
        <v>2118214466.419776</v>
      </c>
      <c r="P14" s="8">
        <f t="shared" si="16"/>
        <v>378022907.92226124</v>
      </c>
      <c r="Q14" s="20">
        <f t="shared" si="10"/>
        <v>1059107233.209888</v>
      </c>
      <c r="R14" s="20">
        <f>O14*2</f>
        <v>4236428932.8395519</v>
      </c>
      <c r="S14" s="22">
        <f>P14*0.3</f>
        <v>113406872.37667836</v>
      </c>
      <c r="T14" s="4"/>
    </row>
    <row r="15" spans="1:20">
      <c r="A15" s="5"/>
      <c r="B15" s="5"/>
      <c r="C15" s="5"/>
      <c r="D15" s="5"/>
      <c r="E15" s="5"/>
      <c r="F15" s="5"/>
      <c r="G15" s="5"/>
      <c r="H15" s="5"/>
      <c r="I15" s="9">
        <f>SUM(I2:I13)</f>
        <v>242225</v>
      </c>
      <c r="J15" s="5"/>
      <c r="K15" s="5"/>
      <c r="L15" s="5"/>
      <c r="M15" s="5"/>
      <c r="N15" s="5"/>
      <c r="O15" s="5" t="s">
        <v>24</v>
      </c>
      <c r="P15" s="5" t="s">
        <v>25</v>
      </c>
      <c r="Q15" s="19"/>
      <c r="R15" s="19"/>
      <c r="S15" s="20" t="s">
        <v>33</v>
      </c>
    </row>
    <row r="16" spans="1:20">
      <c r="A16" s="5"/>
      <c r="B16" s="5"/>
      <c r="C16" s="5" t="s">
        <v>23</v>
      </c>
      <c r="D16" s="5">
        <f>D6+D14</f>
        <v>1164252700</v>
      </c>
      <c r="E16" s="5" t="s">
        <v>10</v>
      </c>
      <c r="F16" s="5">
        <f>F6+F14</f>
        <v>3246720000</v>
      </c>
      <c r="G16" s="5" t="s">
        <v>11</v>
      </c>
      <c r="H16" s="5">
        <f>SUM(H2:H12)</f>
        <v>232250</v>
      </c>
      <c r="I16" s="5" t="s">
        <v>29</v>
      </c>
      <c r="J16" s="5">
        <v>277025</v>
      </c>
      <c r="K16" s="5"/>
      <c r="L16" s="5"/>
      <c r="M16" s="5"/>
      <c r="N16" s="5"/>
      <c r="O16" s="5">
        <f>O6+O14</f>
        <v>2687887381.8299999</v>
      </c>
      <c r="P16" s="5">
        <f>P6+P14</f>
        <v>558832618.16999996</v>
      </c>
      <c r="Q16" s="19"/>
      <c r="R16" s="19"/>
      <c r="S16" s="23">
        <f>SUM(S2:S14)</f>
        <v>167649785.45099998</v>
      </c>
    </row>
    <row r="17" spans="1:20">
      <c r="A17" s="5"/>
      <c r="B17" s="5"/>
      <c r="C17" s="5" t="s">
        <v>12</v>
      </c>
      <c r="D17" s="5">
        <v>777179627</v>
      </c>
      <c r="E17" s="5" t="s">
        <v>13</v>
      </c>
      <c r="F17" s="10">
        <v>2707301705.0999999</v>
      </c>
      <c r="G17" s="5" t="s">
        <v>14</v>
      </c>
      <c r="H17" s="5">
        <v>102077.6</v>
      </c>
      <c r="I17" s="5"/>
      <c r="J17" s="5"/>
      <c r="K17" s="5"/>
      <c r="L17" s="5"/>
      <c r="M17" s="5"/>
      <c r="N17" s="5"/>
      <c r="O17" s="5"/>
      <c r="P17" s="5"/>
      <c r="Q17" s="19"/>
      <c r="R17" s="19"/>
      <c r="S17" s="20"/>
    </row>
    <row r="18" spans="1:20">
      <c r="A18" s="5"/>
      <c r="B18" s="5"/>
      <c r="C18" s="5"/>
      <c r="D18" s="5"/>
      <c r="E18" s="5" t="s">
        <v>15</v>
      </c>
      <c r="F18" s="10">
        <f>F16-F17</f>
        <v>539418294.9000001</v>
      </c>
      <c r="G18" s="11" t="s">
        <v>16</v>
      </c>
      <c r="H18" s="11">
        <f>H16/H17</f>
        <v>2.2752298251526288</v>
      </c>
      <c r="I18" s="5"/>
      <c r="J18" s="5"/>
      <c r="K18" s="5"/>
      <c r="L18" s="5"/>
      <c r="M18" s="5"/>
      <c r="N18" s="5"/>
      <c r="O18" s="5"/>
      <c r="P18" s="5"/>
      <c r="Q18" s="19"/>
      <c r="R18" s="19"/>
      <c r="S18" s="20"/>
    </row>
    <row r="19" spans="1:20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19"/>
      <c r="R19" s="19"/>
      <c r="S19" s="20"/>
    </row>
    <row r="20" spans="1:20">
      <c r="A20" s="5"/>
      <c r="B20" s="5"/>
      <c r="C20" s="5"/>
      <c r="D20" s="5">
        <v>2</v>
      </c>
      <c r="E20" s="5"/>
      <c r="F20" s="5"/>
      <c r="G20" s="5"/>
      <c r="H20" s="5"/>
      <c r="I20" s="5"/>
      <c r="J20" s="5"/>
      <c r="K20" s="5">
        <v>1</v>
      </c>
      <c r="L20" s="5">
        <v>3</v>
      </c>
      <c r="M20" s="5">
        <v>4</v>
      </c>
      <c r="N20" s="5">
        <v>5</v>
      </c>
      <c r="O20" s="5"/>
      <c r="P20" s="5"/>
      <c r="Q20" s="19"/>
      <c r="R20" s="19"/>
      <c r="S20" s="20"/>
    </row>
    <row r="21" spans="1:20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19"/>
      <c r="R21" s="19"/>
      <c r="S21" s="20"/>
    </row>
    <row r="22" spans="1:20">
      <c r="A22" s="5">
        <v>103</v>
      </c>
      <c r="B22" s="5">
        <v>150</v>
      </c>
      <c r="C22" s="5">
        <v>2663</v>
      </c>
      <c r="D22" s="5">
        <f>A22*B22*C22</f>
        <v>41143350</v>
      </c>
      <c r="E22" s="5">
        <v>6400</v>
      </c>
      <c r="F22" s="5">
        <f>A22*B22*E22</f>
        <v>98880000</v>
      </c>
      <c r="G22" s="5"/>
      <c r="H22" s="5"/>
      <c r="I22" s="5">
        <f>A22*B22</f>
        <v>15450</v>
      </c>
      <c r="J22" s="5">
        <f>I22/$J$16</f>
        <v>5.5771139788827723E-2</v>
      </c>
      <c r="K22" s="5">
        <f>J22*777179627</f>
        <v>43344193.618445985</v>
      </c>
      <c r="L22" s="5">
        <f>(D22+K22)*0.09</f>
        <v>7603878.9256601389</v>
      </c>
      <c r="M22" s="5">
        <f>F22*0.0565</f>
        <v>5586720</v>
      </c>
      <c r="N22" s="5">
        <f t="shared" ref="N22:N23" si="18">(D22+K22)*0.2</f>
        <v>16897508.723689198</v>
      </c>
      <c r="O22" s="5"/>
      <c r="P22" s="5"/>
      <c r="Q22" s="19"/>
      <c r="R22" s="19"/>
      <c r="S22" s="20"/>
    </row>
    <row r="23" spans="1:20">
      <c r="A23" s="5">
        <v>129</v>
      </c>
      <c r="B23" s="5">
        <v>150</v>
      </c>
      <c r="C23" s="5">
        <v>2791</v>
      </c>
      <c r="D23" s="5">
        <f>A23*B23*C23</f>
        <v>54005850</v>
      </c>
      <c r="E23" s="5">
        <v>6800</v>
      </c>
      <c r="F23" s="5">
        <f>A23*B23*E23</f>
        <v>131580000</v>
      </c>
      <c r="G23" s="5"/>
      <c r="H23" s="5"/>
      <c r="I23" s="5">
        <f>A23*B23</f>
        <v>19350</v>
      </c>
      <c r="J23" s="5">
        <f>I23/$J$16</f>
        <v>6.9849291580182299E-2</v>
      </c>
      <c r="K23" s="5">
        <f>J23*777179627</f>
        <v>54285446.376500316</v>
      </c>
      <c r="L23" s="5">
        <f>(D23+K23)*0.09</f>
        <v>9746216.6738850269</v>
      </c>
      <c r="M23" s="5">
        <f>F23*0.0565</f>
        <v>7434270</v>
      </c>
      <c r="N23" s="5">
        <f t="shared" si="18"/>
        <v>21658259.275300063</v>
      </c>
      <c r="O23" s="5"/>
      <c r="P23" s="5"/>
      <c r="Q23" s="19"/>
      <c r="R23" s="19"/>
      <c r="S23" s="20"/>
    </row>
    <row r="24" spans="1:20" s="1" customFormat="1">
      <c r="A24" s="6"/>
      <c r="B24" s="6"/>
      <c r="C24" s="6"/>
      <c r="D24" s="6">
        <f>SUM(D22:D23)</f>
        <v>95149200</v>
      </c>
      <c r="E24" s="6"/>
      <c r="F24" s="6">
        <f>SUM(F22:F23)</f>
        <v>230460000</v>
      </c>
      <c r="G24" s="6"/>
      <c r="H24" s="6"/>
      <c r="I24" s="6">
        <f>SUM(I22:I23)</f>
        <v>34800</v>
      </c>
      <c r="J24" s="9"/>
      <c r="K24" s="6">
        <f>SUM(K22:K23)</f>
        <v>97629639.994946301</v>
      </c>
      <c r="L24" s="6">
        <f>SUM(L22:L23)</f>
        <v>17350095.599545166</v>
      </c>
      <c r="M24" s="6">
        <f>SUM(M22:M23)</f>
        <v>13020990</v>
      </c>
      <c r="N24" s="6">
        <f>SUM(N22:N23)</f>
        <v>38555767.998989262</v>
      </c>
      <c r="O24" s="6"/>
      <c r="P24" s="6"/>
      <c r="Q24" s="20"/>
      <c r="R24" s="20"/>
      <c r="S24" s="20"/>
      <c r="T24" s="4"/>
    </row>
    <row r="25" spans="1:20">
      <c r="A25" s="5" t="s">
        <v>27</v>
      </c>
      <c r="B25" s="5"/>
      <c r="C25" s="5"/>
      <c r="D25" s="5">
        <f>D24*$J$5</f>
        <v>24079454.886985239</v>
      </c>
      <c r="E25" s="5"/>
      <c r="F25" s="5">
        <f>F24*$J$5</f>
        <v>58322625.657962635</v>
      </c>
      <c r="G25" s="5"/>
      <c r="H25" s="5"/>
      <c r="I25" s="5">
        <f>I24*$J$5</f>
        <v>8806.8531324182059</v>
      </c>
      <c r="J25" s="5"/>
      <c r="K25" s="5">
        <f>K24*$J$5</f>
        <v>24707181.057653867</v>
      </c>
      <c r="L25" s="5">
        <f>L24*$J$5</f>
        <v>4390797.2350175194</v>
      </c>
      <c r="M25" s="5">
        <f>M24*$J$5</f>
        <v>3295228.3496748889</v>
      </c>
      <c r="N25" s="5">
        <f>N24*$J$5</f>
        <v>9757327.1889278218</v>
      </c>
      <c r="O25" s="5"/>
      <c r="P25" s="5"/>
      <c r="Q25" s="19"/>
      <c r="R25" s="19"/>
      <c r="S25" s="20"/>
    </row>
    <row r="26" spans="1:20">
      <c r="A26" s="5" t="s">
        <v>28</v>
      </c>
      <c r="B26" s="5"/>
      <c r="C26" s="5"/>
      <c r="D26" s="5">
        <f>D24*$J$13</f>
        <v>71069745.113014758</v>
      </c>
      <c r="E26" s="5"/>
      <c r="F26" s="5">
        <f>F24*$J$13</f>
        <v>172137374.34203738</v>
      </c>
      <c r="G26" s="5"/>
      <c r="H26" s="5"/>
      <c r="I26" s="5">
        <f>I24*$J$13</f>
        <v>25993.146867581796</v>
      </c>
      <c r="J26" s="5"/>
      <c r="K26" s="5">
        <f>K24*$J$13</f>
        <v>72922458.937292427</v>
      </c>
      <c r="L26" s="5">
        <f>L24*$J$13</f>
        <v>12959298.364527646</v>
      </c>
      <c r="M26" s="5">
        <f>M24*$J$13</f>
        <v>9725761.650325112</v>
      </c>
      <c r="N26" s="5">
        <f>N24*$J$13</f>
        <v>28798440.81006144</v>
      </c>
      <c r="O26" s="5"/>
      <c r="P26" s="5"/>
      <c r="Q26" s="19"/>
      <c r="R26" s="19"/>
      <c r="S26" s="20"/>
    </row>
    <row r="27" spans="1:20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19"/>
      <c r="R27" s="19"/>
      <c r="S27" s="20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opLeftCell="I1" workbookViewId="0">
      <selection activeCell="S1" sqref="O1:S1048576"/>
    </sheetView>
  </sheetViews>
  <sheetFormatPr defaultRowHeight="13.5"/>
  <cols>
    <col min="1" max="1" width="5.25" customWidth="1"/>
    <col min="2" max="2" width="4.5" bestFit="1" customWidth="1"/>
    <col min="4" max="4" width="11.625" bestFit="1" customWidth="1"/>
    <col min="6" max="6" width="15" bestFit="1" customWidth="1"/>
    <col min="9" max="9" width="11" bestFit="1" customWidth="1"/>
    <col min="10" max="10" width="21.625" bestFit="1" customWidth="1"/>
    <col min="11" max="12" width="12.75" bestFit="1" customWidth="1"/>
    <col min="13" max="13" width="11.625" bestFit="1" customWidth="1"/>
    <col min="14" max="14" width="13" bestFit="1" customWidth="1"/>
    <col min="15" max="15" width="12.75" style="12" bestFit="1" customWidth="1"/>
    <col min="16" max="16" width="11.625" style="12" bestFit="1" customWidth="1"/>
    <col min="17" max="18" width="17.5" style="13" bestFit="1" customWidth="1"/>
    <col min="19" max="19" width="16.125" style="15" bestFit="1" customWidth="1"/>
    <col min="20" max="20" width="10.5" style="3" bestFit="1" customWidth="1"/>
  </cols>
  <sheetData>
    <row r="1" spans="1:20">
      <c r="A1" s="5" t="s">
        <v>34</v>
      </c>
      <c r="B1" s="5" t="s">
        <v>35</v>
      </c>
      <c r="C1" s="5" t="s">
        <v>36</v>
      </c>
      <c r="D1" s="5" t="s">
        <v>37</v>
      </c>
      <c r="E1" s="5" t="s">
        <v>38</v>
      </c>
      <c r="F1" s="5" t="s">
        <v>39</v>
      </c>
      <c r="G1" s="5"/>
      <c r="H1" s="5" t="s">
        <v>40</v>
      </c>
      <c r="I1" s="5" t="s">
        <v>40</v>
      </c>
      <c r="J1" s="5"/>
      <c r="K1" s="5" t="s">
        <v>41</v>
      </c>
      <c r="L1" s="5" t="s">
        <v>42</v>
      </c>
      <c r="M1" s="5" t="s">
        <v>43</v>
      </c>
      <c r="N1" s="5" t="s">
        <v>44</v>
      </c>
      <c r="O1" s="12" t="s">
        <v>21</v>
      </c>
      <c r="P1" s="12" t="s">
        <v>22</v>
      </c>
      <c r="Q1" s="13" t="s">
        <v>30</v>
      </c>
      <c r="R1" s="13" t="s">
        <v>31</v>
      </c>
      <c r="S1" s="13" t="s">
        <v>32</v>
      </c>
    </row>
    <row r="2" spans="1:20">
      <c r="A2" s="5">
        <v>77</v>
      </c>
      <c r="B2" s="5">
        <v>117</v>
      </c>
      <c r="C2" s="5">
        <v>4263</v>
      </c>
      <c r="D2" s="5">
        <f>A2*B2*C2</f>
        <v>38405367</v>
      </c>
      <c r="E2" s="5">
        <v>12000</v>
      </c>
      <c r="F2" s="5">
        <f>A2*B2*E2</f>
        <v>108108000</v>
      </c>
      <c r="G2" s="5"/>
      <c r="H2" s="5">
        <f>A2*B2</f>
        <v>9009</v>
      </c>
      <c r="I2" s="5">
        <f>A2*B2</f>
        <v>9009</v>
      </c>
      <c r="J2" s="5">
        <f>I2/$J$16</f>
        <v>3.6261838731620533E-2</v>
      </c>
      <c r="K2" s="5">
        <f>J2*777179627</f>
        <v>28181962.299774997</v>
      </c>
      <c r="L2" s="5">
        <f>(D2+K2)*0.09</f>
        <v>5992859.6369797494</v>
      </c>
      <c r="M2" s="5">
        <f>F2*0.0565</f>
        <v>6108102</v>
      </c>
      <c r="N2" s="5">
        <f>(D2+K2)*0.2</f>
        <v>13317465.859955</v>
      </c>
      <c r="S2" s="13"/>
    </row>
    <row r="3" spans="1:20">
      <c r="A3" s="5">
        <v>98</v>
      </c>
      <c r="B3" s="5">
        <v>179</v>
      </c>
      <c r="C3" s="5">
        <v>4323</v>
      </c>
      <c r="D3" s="5">
        <f t="shared" ref="D3" si="0">A3*B3*C3</f>
        <v>75834066</v>
      </c>
      <c r="E3" s="5">
        <v>10800</v>
      </c>
      <c r="F3" s="5">
        <f t="shared" ref="F3:F12" si="1">A3*B3*E3</f>
        <v>189453600</v>
      </c>
      <c r="G3" s="5"/>
      <c r="H3" s="5">
        <f t="shared" ref="H3:H4" si="2">A3*B3</f>
        <v>17542</v>
      </c>
      <c r="I3" s="5">
        <f t="shared" ref="I3:I12" si="3">A3*B3</f>
        <v>17542</v>
      </c>
      <c r="J3" s="5">
        <f>I3/$J$16</f>
        <v>7.0607745036084732E-2</v>
      </c>
      <c r="K3" s="5">
        <f t="shared" ref="K3:K12" si="4">J3*777179627</f>
        <v>54874900.950455435</v>
      </c>
      <c r="L3" s="5">
        <f t="shared" ref="L3:L4" si="5">(D3+K3)*0.09</f>
        <v>11763807.025540989</v>
      </c>
      <c r="M3" s="5">
        <f t="shared" ref="M3:M12" si="6">F3*0.0565</f>
        <v>10704128.4</v>
      </c>
      <c r="N3" s="5">
        <f t="shared" ref="N3:N4" si="7">(D3+K3)*0.2</f>
        <v>26141793.390091088</v>
      </c>
      <c r="S3" s="13"/>
    </row>
    <row r="4" spans="1:20">
      <c r="A4" s="5">
        <v>117</v>
      </c>
      <c r="B4" s="5">
        <v>152</v>
      </c>
      <c r="C4" s="5">
        <v>4532</v>
      </c>
      <c r="D4" s="5"/>
      <c r="E4" s="5">
        <v>11200</v>
      </c>
      <c r="F4" s="5">
        <f t="shared" si="1"/>
        <v>199180800</v>
      </c>
      <c r="G4" s="5"/>
      <c r="H4" s="5">
        <f t="shared" si="2"/>
        <v>17784</v>
      </c>
      <c r="I4" s="5">
        <f t="shared" si="3"/>
        <v>17784</v>
      </c>
      <c r="J4" s="5">
        <f>I4/$J$16</f>
        <v>7.1581811522160019E-2</v>
      </c>
      <c r="K4" s="5">
        <f t="shared" si="4"/>
        <v>55631925.578776628</v>
      </c>
      <c r="L4" s="5">
        <f t="shared" si="5"/>
        <v>5006873.3020898961</v>
      </c>
      <c r="M4" s="5">
        <f t="shared" si="6"/>
        <v>11253715.200000001</v>
      </c>
      <c r="N4" s="5">
        <f t="shared" si="7"/>
        <v>11126385.115755327</v>
      </c>
      <c r="S4" s="13"/>
    </row>
    <row r="5" spans="1:20" s="1" customFormat="1">
      <c r="A5" s="6" t="s">
        <v>45</v>
      </c>
      <c r="B5" s="6"/>
      <c r="C5" s="6"/>
      <c r="D5" s="6">
        <f>SUM(D2:D4)</f>
        <v>114239433</v>
      </c>
      <c r="E5" s="6"/>
      <c r="F5" s="6">
        <f t="shared" ref="F5:N5" si="8">SUM(F2:F4)</f>
        <v>496742400</v>
      </c>
      <c r="G5" s="6"/>
      <c r="H5" s="6"/>
      <c r="I5" s="6"/>
      <c r="J5" s="7">
        <v>0.19262435752054</v>
      </c>
      <c r="K5" s="6">
        <f t="shared" si="8"/>
        <v>138688788.82900706</v>
      </c>
      <c r="L5" s="6">
        <f t="shared" si="8"/>
        <v>22763539.964610633</v>
      </c>
      <c r="M5" s="6">
        <f t="shared" si="8"/>
        <v>28065945.600000001</v>
      </c>
      <c r="N5" s="6">
        <f t="shared" si="8"/>
        <v>50585644.365801416</v>
      </c>
      <c r="O5" s="14">
        <f>D5+K5+L5+M5+N5</f>
        <v>354343351.75941908</v>
      </c>
      <c r="P5" s="14">
        <f>F5-O5</f>
        <v>142399048.24058092</v>
      </c>
      <c r="Q5" s="15"/>
      <c r="R5" s="15"/>
      <c r="S5" s="15"/>
    </row>
    <row r="6" spans="1:20" s="2" customFormat="1">
      <c r="A6" s="8" t="s">
        <v>46</v>
      </c>
      <c r="B6" s="8"/>
      <c r="C6" s="8"/>
      <c r="D6" s="8">
        <f>D5+D25</f>
        <v>123912114.42472944</v>
      </c>
      <c r="E6" s="8"/>
      <c r="F6" s="8">
        <f>F5+F25</f>
        <v>520202274.60191256</v>
      </c>
      <c r="G6" s="8"/>
      <c r="H6" s="8"/>
      <c r="I6" s="8"/>
      <c r="J6" s="6"/>
      <c r="K6" s="8">
        <f t="shared" ref="K6:N6" si="9">K5+K25</f>
        <v>149703726.32892779</v>
      </c>
      <c r="L6" s="8">
        <f t="shared" si="9"/>
        <v>24625425.667829145</v>
      </c>
      <c r="M6" s="8">
        <f>M5+M25</f>
        <v>29391428.515008062</v>
      </c>
      <c r="N6" s="8">
        <f t="shared" si="9"/>
        <v>54723168.150731444</v>
      </c>
      <c r="O6" s="16">
        <f>D6+K6+L6+M6+N6</f>
        <v>382355863.08722591</v>
      </c>
      <c r="P6" s="16">
        <f>F6-O6</f>
        <v>137846411.51468664</v>
      </c>
      <c r="Q6" s="15">
        <f t="shared" ref="Q6:Q14" si="10">O6/2</f>
        <v>191177931.54361296</v>
      </c>
      <c r="R6" s="15">
        <f>O6*2</f>
        <v>764711726.17445183</v>
      </c>
      <c r="S6" s="15">
        <f>P6*0.3</f>
        <v>41353923.454405993</v>
      </c>
    </row>
    <row r="7" spans="1:20">
      <c r="A7" s="5">
        <v>145</v>
      </c>
      <c r="B7" s="5">
        <v>177</v>
      </c>
      <c r="C7" s="5">
        <v>5288</v>
      </c>
      <c r="D7" s="5">
        <f t="shared" ref="D7:D10" si="11">A7*B7*C7</f>
        <v>135716520</v>
      </c>
      <c r="E7" s="5">
        <v>12800</v>
      </c>
      <c r="F7" s="5">
        <f>A7*B7*E7</f>
        <v>328512000</v>
      </c>
      <c r="G7" s="5"/>
      <c r="H7" s="5">
        <f>A7*B7</f>
        <v>25665</v>
      </c>
      <c r="I7" s="5">
        <f>A7*B7</f>
        <v>25665</v>
      </c>
      <c r="J7" s="5">
        <f t="shared" ref="J7:J12" si="12">I7/$J$16</f>
        <v>0.10330337340959496</v>
      </c>
      <c r="K7" s="5">
        <f>J7*777179627</f>
        <v>80285277.214310735</v>
      </c>
      <c r="L7" s="5">
        <f>(D7+K7)*0.09</f>
        <v>19440161.749287967</v>
      </c>
      <c r="M7" s="5">
        <f>F7*0.0565</f>
        <v>18560928</v>
      </c>
      <c r="N7" s="5">
        <f>(D7+K7)*0.2</f>
        <v>43200359.442862153</v>
      </c>
      <c r="O7" s="16"/>
      <c r="P7" s="15"/>
      <c r="Q7" s="15"/>
      <c r="S7" s="13"/>
    </row>
    <row r="8" spans="1:20">
      <c r="A8" s="5">
        <v>156</v>
      </c>
      <c r="B8" s="5">
        <v>210</v>
      </c>
      <c r="C8" s="5">
        <v>5268</v>
      </c>
      <c r="D8" s="5">
        <f t="shared" si="11"/>
        <v>172579680</v>
      </c>
      <c r="E8" s="5">
        <v>12800</v>
      </c>
      <c r="F8" s="5">
        <f>A8*B8*E8</f>
        <v>419328000</v>
      </c>
      <c r="G8" s="5"/>
      <c r="H8" s="5">
        <f>A8*B8</f>
        <v>32760</v>
      </c>
      <c r="I8" s="5">
        <f>A8*B8</f>
        <v>32760</v>
      </c>
      <c r="J8" s="5">
        <f t="shared" si="12"/>
        <v>0.1318612317513474</v>
      </c>
      <c r="K8" s="5">
        <f>J8*777179627</f>
        <v>102479862.90827273</v>
      </c>
      <c r="L8" s="5">
        <f t="shared" ref="L8:L12" si="13">(D8+K8)*0.09</f>
        <v>24755358.861744545</v>
      </c>
      <c r="M8" s="5">
        <f>F8*0.0565</f>
        <v>23692032</v>
      </c>
      <c r="N8" s="5">
        <f t="shared" ref="N8:N12" si="14">(D8+K8)*0.2</f>
        <v>55011908.581654549</v>
      </c>
      <c r="O8" s="16"/>
      <c r="P8" s="16"/>
      <c r="Q8" s="15"/>
      <c r="S8" s="13"/>
    </row>
    <row r="9" spans="1:20">
      <c r="A9" s="5">
        <v>167</v>
      </c>
      <c r="B9" s="5">
        <v>244</v>
      </c>
      <c r="C9" s="5">
        <v>5533</v>
      </c>
      <c r="D9" s="5">
        <f t="shared" si="11"/>
        <v>225458684</v>
      </c>
      <c r="E9" s="5">
        <v>13600</v>
      </c>
      <c r="F9" s="5">
        <f>A9*B9*E9</f>
        <v>554172800</v>
      </c>
      <c r="G9" s="5"/>
      <c r="H9" s="5">
        <f>A9*B9</f>
        <v>40748</v>
      </c>
      <c r="I9" s="5">
        <f>A9*B9</f>
        <v>40748</v>
      </c>
      <c r="J9" s="5">
        <f t="shared" si="12"/>
        <v>0.16401347592808008</v>
      </c>
      <c r="K9" s="5">
        <f>J9*777179627</f>
        <v>127467932.04475875</v>
      </c>
      <c r="L9" s="5">
        <f t="shared" si="13"/>
        <v>31763395.444028284</v>
      </c>
      <c r="M9" s="5">
        <f>F9*0.0565</f>
        <v>31310763.199999999</v>
      </c>
      <c r="N9" s="5">
        <f t="shared" si="14"/>
        <v>70585323.208951756</v>
      </c>
      <c r="O9" s="16"/>
      <c r="P9" s="16"/>
      <c r="Q9" s="15"/>
      <c r="S9" s="13"/>
    </row>
    <row r="10" spans="1:20">
      <c r="A10" s="5">
        <v>178</v>
      </c>
      <c r="B10" s="5">
        <v>269</v>
      </c>
      <c r="C10" s="5">
        <v>5685</v>
      </c>
      <c r="D10" s="5">
        <f t="shared" si="11"/>
        <v>272209170</v>
      </c>
      <c r="E10" s="5">
        <v>14000</v>
      </c>
      <c r="F10" s="5">
        <f>A10*B10*E10</f>
        <v>670348000</v>
      </c>
      <c r="G10" s="5"/>
      <c r="H10" s="5">
        <f>A10*B10</f>
        <v>47882</v>
      </c>
      <c r="I10" s="5">
        <f>A10*B10</f>
        <v>47882</v>
      </c>
      <c r="J10" s="5">
        <f t="shared" si="12"/>
        <v>0.19272831192667936</v>
      </c>
      <c r="K10" s="5">
        <f>J10*777179627</f>
        <v>149784517.57551631</v>
      </c>
      <c r="L10" s="5">
        <f t="shared" si="13"/>
        <v>37979431.881796472</v>
      </c>
      <c r="M10" s="5">
        <f>F10*0.0565</f>
        <v>37874662</v>
      </c>
      <c r="N10" s="5">
        <f t="shared" si="14"/>
        <v>84398737.515103281</v>
      </c>
      <c r="O10" s="16"/>
      <c r="P10" s="16"/>
      <c r="Q10" s="15"/>
      <c r="S10" s="13"/>
    </row>
    <row r="11" spans="1:20">
      <c r="A11" s="5">
        <v>126</v>
      </c>
      <c r="B11" s="5">
        <v>180</v>
      </c>
      <c r="C11" s="5">
        <v>4323</v>
      </c>
      <c r="D11" s="5"/>
      <c r="E11" s="5">
        <v>10400</v>
      </c>
      <c r="F11" s="5">
        <f>A11*B11*E11</f>
        <v>235872000</v>
      </c>
      <c r="G11" s="5"/>
      <c r="H11" s="5">
        <f>A11*B11</f>
        <v>22680</v>
      </c>
      <c r="I11" s="5">
        <f>A11*B11</f>
        <v>22680</v>
      </c>
      <c r="J11" s="5">
        <f t="shared" si="12"/>
        <v>9.1288545058625117E-2</v>
      </c>
      <c r="K11" s="5">
        <f>J11*777179627</f>
        <v>70947597.39803496</v>
      </c>
      <c r="L11" s="5">
        <f t="shared" si="13"/>
        <v>6385283.7658231463</v>
      </c>
      <c r="M11" s="5">
        <f>F11*0.0565</f>
        <v>13326768</v>
      </c>
      <c r="N11" s="5">
        <f t="shared" si="14"/>
        <v>14189519.479606993</v>
      </c>
      <c r="O11" s="16"/>
      <c r="P11" s="16"/>
      <c r="Q11" s="15"/>
      <c r="S11" s="13"/>
    </row>
    <row r="12" spans="1:20">
      <c r="A12" s="5">
        <v>133</v>
      </c>
      <c r="B12" s="5">
        <v>121</v>
      </c>
      <c r="C12" s="5">
        <v>2982</v>
      </c>
      <c r="D12" s="5"/>
      <c r="E12" s="5">
        <v>7200</v>
      </c>
      <c r="F12" s="5">
        <f t="shared" si="1"/>
        <v>115869600</v>
      </c>
      <c r="G12" s="5"/>
      <c r="H12" s="5"/>
      <c r="I12" s="5">
        <f t="shared" si="3"/>
        <v>16093</v>
      </c>
      <c r="J12" s="5">
        <f t="shared" si="12"/>
        <v>6.4775421324005905E-2</v>
      </c>
      <c r="K12" s="5">
        <f t="shared" si="4"/>
        <v>50342137.783358753</v>
      </c>
      <c r="L12" s="5">
        <f t="shared" si="13"/>
        <v>4530792.4005022878</v>
      </c>
      <c r="M12" s="5">
        <f t="shared" si="6"/>
        <v>6546632.4000000004</v>
      </c>
      <c r="N12" s="5">
        <f t="shared" si="14"/>
        <v>10068427.556671752</v>
      </c>
      <c r="O12" s="16"/>
      <c r="P12" s="16"/>
      <c r="Q12" s="15"/>
      <c r="S12" s="13"/>
    </row>
    <row r="13" spans="1:20" s="1" customFormat="1">
      <c r="A13" s="6" t="s">
        <v>47</v>
      </c>
      <c r="B13" s="6"/>
      <c r="C13" s="6"/>
      <c r="D13" s="6">
        <f>SUM(D7:D12)</f>
        <v>805964054</v>
      </c>
      <c r="E13" s="6"/>
      <c r="F13" s="6">
        <f t="shared" ref="F13:N13" si="15">SUM(F7:F12)</f>
        <v>2324102400</v>
      </c>
      <c r="G13" s="6"/>
      <c r="H13" s="6"/>
      <c r="I13" s="6"/>
      <c r="J13" s="7">
        <v>0.80737564247946003</v>
      </c>
      <c r="K13" s="6">
        <f t="shared" si="15"/>
        <v>581307324.92425227</v>
      </c>
      <c r="L13" s="6">
        <f t="shared" si="15"/>
        <v>124854424.10318272</v>
      </c>
      <c r="M13" s="6">
        <f t="shared" si="15"/>
        <v>131311785.60000001</v>
      </c>
      <c r="N13" s="6">
        <f t="shared" si="15"/>
        <v>277454275.78485048</v>
      </c>
      <c r="O13" s="14">
        <f t="shared" ref="O13" si="16">D13+K13+L13+M13+N13</f>
        <v>1920891864.4122853</v>
      </c>
      <c r="P13" s="14">
        <f t="shared" ref="P13" si="17">F13-O13</f>
        <v>403210535.58771467</v>
      </c>
      <c r="Q13" s="15"/>
      <c r="R13" s="15"/>
      <c r="S13" s="15"/>
    </row>
    <row r="14" spans="1:20" s="2" customFormat="1">
      <c r="A14" s="8" t="s">
        <v>48</v>
      </c>
      <c r="B14" s="8"/>
      <c r="C14" s="8"/>
      <c r="D14" s="8">
        <f>D13+D26</f>
        <v>846506628.57527053</v>
      </c>
      <c r="E14" s="8"/>
      <c r="F14" s="8">
        <f>F13+F26</f>
        <v>2422433325.3980875</v>
      </c>
      <c r="G14" s="8"/>
      <c r="H14" s="8"/>
      <c r="I14" s="8"/>
      <c r="J14" s="6"/>
      <c r="K14" s="8">
        <f t="shared" ref="K14:N14" si="18">K13+K26</f>
        <v>627475900.67107224</v>
      </c>
      <c r="L14" s="8">
        <f t="shared" si="18"/>
        <v>132658427.63217087</v>
      </c>
      <c r="M14" s="8">
        <f t="shared" si="18"/>
        <v>136867482.88499194</v>
      </c>
      <c r="N14" s="8">
        <f t="shared" si="18"/>
        <v>294796505.84926862</v>
      </c>
      <c r="O14" s="16">
        <f>D14+K14+L14+M14+N14</f>
        <v>2038304945.6127741</v>
      </c>
      <c r="P14" s="16">
        <f>F14-O14</f>
        <v>384128379.78531337</v>
      </c>
      <c r="Q14" s="15">
        <f t="shared" si="10"/>
        <v>1019152472.8063871</v>
      </c>
      <c r="R14" s="15">
        <f>O14*2</f>
        <v>4076609891.2255483</v>
      </c>
      <c r="S14" s="15">
        <f>P14*0.3</f>
        <v>115238513.93559401</v>
      </c>
      <c r="T14" s="4"/>
    </row>
    <row r="15" spans="1:20">
      <c r="A15" s="5"/>
      <c r="B15" s="5"/>
      <c r="C15" s="5"/>
      <c r="D15" s="5"/>
      <c r="E15" s="5"/>
      <c r="F15" s="5"/>
      <c r="G15" s="5"/>
      <c r="H15" s="5"/>
      <c r="I15" s="9">
        <f>SUM(I2:I12)</f>
        <v>230163</v>
      </c>
      <c r="J15" s="5"/>
      <c r="K15" s="5"/>
      <c r="L15" s="5"/>
      <c r="M15" s="5"/>
      <c r="N15" s="5"/>
      <c r="O15" s="12" t="s">
        <v>49</v>
      </c>
      <c r="P15" s="12" t="s">
        <v>50</v>
      </c>
      <c r="S15" s="15" t="s">
        <v>51</v>
      </c>
    </row>
    <row r="16" spans="1:20">
      <c r="A16" s="5"/>
      <c r="B16" s="5"/>
      <c r="C16" s="5"/>
      <c r="D16" s="5"/>
      <c r="E16" s="5" t="s">
        <v>52</v>
      </c>
      <c r="F16" s="5">
        <f>F6+F14</f>
        <v>2942635600</v>
      </c>
      <c r="G16" s="5" t="s">
        <v>53</v>
      </c>
      <c r="H16" s="5">
        <f>SUM(H2:H12)</f>
        <v>214070</v>
      </c>
      <c r="I16" s="5" t="s">
        <v>54</v>
      </c>
      <c r="J16" s="5">
        <f>I15+I22+I23</f>
        <v>248443</v>
      </c>
      <c r="K16" s="5"/>
      <c r="L16" s="5"/>
      <c r="M16" s="5">
        <f>F16*0.0565</f>
        <v>166258911.40000001</v>
      </c>
      <c r="N16" s="5"/>
      <c r="O16" s="12">
        <f>O6+O14</f>
        <v>2420660808.6999998</v>
      </c>
      <c r="P16" s="12">
        <f>P6+P14</f>
        <v>521974791.30000001</v>
      </c>
      <c r="S16" s="17">
        <f>SUM(S2:S14)</f>
        <v>156592437.38999999</v>
      </c>
    </row>
    <row r="17" spans="1:20">
      <c r="A17" s="5"/>
      <c r="B17" s="5"/>
      <c r="C17" s="5" t="s">
        <v>55</v>
      </c>
      <c r="D17" s="5">
        <v>777179627</v>
      </c>
      <c r="E17" s="5"/>
      <c r="F17" s="10"/>
      <c r="G17" s="5" t="s">
        <v>56</v>
      </c>
      <c r="H17" s="5">
        <v>102077.6</v>
      </c>
      <c r="I17" s="5"/>
      <c r="J17" s="5"/>
      <c r="K17" s="5"/>
      <c r="L17" s="5"/>
      <c r="M17" s="5"/>
      <c r="N17" s="5"/>
    </row>
    <row r="18" spans="1:20">
      <c r="A18" s="5"/>
      <c r="B18" s="5"/>
      <c r="C18" s="5"/>
      <c r="D18" s="5"/>
      <c r="E18" s="5"/>
      <c r="F18" s="10"/>
      <c r="G18" s="11" t="s">
        <v>57</v>
      </c>
      <c r="H18" s="11">
        <f>H16/H17</f>
        <v>2.0971300265680228</v>
      </c>
      <c r="I18" s="5"/>
      <c r="J18" s="5"/>
      <c r="K18" s="5"/>
      <c r="L18" s="5"/>
      <c r="M18" s="5"/>
      <c r="N18" s="5"/>
    </row>
    <row r="19" spans="1:20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20">
      <c r="A20" s="5"/>
      <c r="B20" s="5"/>
      <c r="C20" s="5"/>
      <c r="D20" s="5">
        <v>2</v>
      </c>
      <c r="E20" s="5"/>
      <c r="F20" s="5"/>
      <c r="G20" s="5"/>
      <c r="H20" s="5"/>
      <c r="I20" s="5"/>
      <c r="J20" s="5"/>
      <c r="K20" s="5">
        <v>1</v>
      </c>
      <c r="L20" s="5">
        <v>3</v>
      </c>
      <c r="M20" s="5">
        <v>4</v>
      </c>
      <c r="N20" s="5">
        <v>5</v>
      </c>
    </row>
    <row r="21" spans="1:20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20">
      <c r="A22" s="5">
        <v>103</v>
      </c>
      <c r="B22" s="5">
        <v>61</v>
      </c>
      <c r="C22" s="5">
        <v>2663</v>
      </c>
      <c r="D22" s="5">
        <f>A22*B22*C22</f>
        <v>16731629</v>
      </c>
      <c r="E22" s="5">
        <v>6400</v>
      </c>
      <c r="F22" s="5">
        <f>A22*B22*E22</f>
        <v>40211200</v>
      </c>
      <c r="G22" s="5"/>
      <c r="H22" s="5"/>
      <c r="I22" s="5">
        <f>A22*B22</f>
        <v>6283</v>
      </c>
      <c r="J22" s="5">
        <f>I22/$J$16</f>
        <v>2.5289503024838695E-2</v>
      </c>
      <c r="K22" s="5">
        <f>J22*777179627</f>
        <v>19654486.527859509</v>
      </c>
      <c r="L22" s="5">
        <f t="shared" ref="L22:L23" si="19">(D22+K22)*0.09</f>
        <v>3274750.3975073555</v>
      </c>
      <c r="M22" s="5">
        <f>F22*0.0565</f>
        <v>2271932.8000000003</v>
      </c>
      <c r="N22" s="5">
        <f t="shared" ref="N22:N23" si="20">(D22+K22)*0.2</f>
        <v>7277223.1055719024</v>
      </c>
      <c r="O22" s="16">
        <f>D22+K22+L22+M22+N22</f>
        <v>49210021.830938764</v>
      </c>
      <c r="P22" s="14">
        <f>F22-O22</f>
        <v>-8998821.8309387639</v>
      </c>
    </row>
    <row r="23" spans="1:20">
      <c r="A23" s="5">
        <v>129</v>
      </c>
      <c r="B23" s="5">
        <v>93</v>
      </c>
      <c r="C23" s="5">
        <v>2791</v>
      </c>
      <c r="D23" s="5">
        <f>A23*B23*C23</f>
        <v>33483627</v>
      </c>
      <c r="E23" s="5">
        <v>6800</v>
      </c>
      <c r="F23" s="5">
        <f>A23*B23*E23</f>
        <v>81579600</v>
      </c>
      <c r="G23" s="5"/>
      <c r="H23" s="5"/>
      <c r="I23" s="5">
        <f>A23*B23</f>
        <v>11997</v>
      </c>
      <c r="J23" s="5">
        <f>I23/$J$16</f>
        <v>4.8288742286963206E-2</v>
      </c>
      <c r="K23" s="5">
        <f>J23*777179627</f>
        <v>37529026.71888119</v>
      </c>
      <c r="L23" s="5">
        <f t="shared" si="19"/>
        <v>6391138.8346993066</v>
      </c>
      <c r="M23" s="5">
        <f>F23*0.0565</f>
        <v>4609247.4000000004</v>
      </c>
      <c r="N23" s="5">
        <f t="shared" si="20"/>
        <v>14202530.743776239</v>
      </c>
      <c r="O23" s="16">
        <f>D23+K23+L23+M23+N23</f>
        <v>96215570.697356731</v>
      </c>
      <c r="P23" s="14">
        <f>F23-O23</f>
        <v>-14635970.697356731</v>
      </c>
    </row>
    <row r="24" spans="1:20" s="1" customFormat="1">
      <c r="A24" s="6"/>
      <c r="B24" s="6"/>
      <c r="C24" s="6"/>
      <c r="D24" s="6">
        <f>SUM(D22:D23)</f>
        <v>50215256</v>
      </c>
      <c r="E24" s="6"/>
      <c r="F24" s="6">
        <f>SUM(F22:F23)</f>
        <v>121790800</v>
      </c>
      <c r="G24" s="6"/>
      <c r="H24" s="6"/>
      <c r="I24" s="6"/>
      <c r="J24" s="9"/>
      <c r="K24" s="6">
        <f>SUM(K22:K23)</f>
        <v>57183513.246740699</v>
      </c>
      <c r="L24" s="6">
        <f>SUM(L22:L23)</f>
        <v>9665889.2322066613</v>
      </c>
      <c r="M24" s="6">
        <f>SUM(M22:M23)</f>
        <v>6881180.2000000011</v>
      </c>
      <c r="N24" s="6">
        <f>SUM(N22:N23)</f>
        <v>21479753.849348143</v>
      </c>
      <c r="O24" s="14"/>
      <c r="P24" s="14"/>
      <c r="Q24" s="15"/>
      <c r="R24" s="15"/>
      <c r="S24" s="15"/>
      <c r="T24" s="4"/>
    </row>
    <row r="25" spans="1:20">
      <c r="A25" s="5" t="s">
        <v>58</v>
      </c>
      <c r="B25" s="5"/>
      <c r="C25" s="5"/>
      <c r="D25" s="5">
        <f>D24*$J$5</f>
        <v>9672681.4247294404</v>
      </c>
      <c r="E25" s="5"/>
      <c r="F25" s="5">
        <f>F24*$J$5</f>
        <v>23459874.601912584</v>
      </c>
      <c r="G25" s="5"/>
      <c r="H25" s="5"/>
      <c r="I25" s="5"/>
      <c r="J25" s="5"/>
      <c r="K25" s="5">
        <f>K24*$J$5</f>
        <v>11014937.499920715</v>
      </c>
      <c r="L25" s="5">
        <f>L24*$J$5</f>
        <v>1861885.7032185139</v>
      </c>
      <c r="M25" s="5">
        <f>M24*$J$5</f>
        <v>1325482.9150080611</v>
      </c>
      <c r="N25" s="5">
        <f>N24*$J$5</f>
        <v>4137523.7849300317</v>
      </c>
      <c r="O25" s="16">
        <f>D25+K25+L25+M25+N25</f>
        <v>28012511.32780676</v>
      </c>
      <c r="P25" s="14">
        <f>F25-O25</f>
        <v>-4552636.7258941755</v>
      </c>
    </row>
    <row r="26" spans="1:20">
      <c r="A26" s="5" t="s">
        <v>59</v>
      </c>
      <c r="B26" s="5"/>
      <c r="C26" s="5"/>
      <c r="D26" s="5">
        <f>D24*$J$13</f>
        <v>40542574.575270563</v>
      </c>
      <c r="E26" s="5"/>
      <c r="F26" s="5">
        <f>F24*$J$13</f>
        <v>98330925.398087427</v>
      </c>
      <c r="G26" s="5"/>
      <c r="H26" s="5"/>
      <c r="I26" s="5"/>
      <c r="J26" s="5"/>
      <c r="K26" s="5">
        <f>K24*$J$13</f>
        <v>46168575.746819988</v>
      </c>
      <c r="L26" s="5">
        <f>L24*$J$13</f>
        <v>7804003.5289881481</v>
      </c>
      <c r="M26" s="5">
        <f>M24*$J$13</f>
        <v>5555697.2849919405</v>
      </c>
      <c r="N26" s="5">
        <f>N24*$J$13</f>
        <v>17342230.064418111</v>
      </c>
      <c r="O26" s="16">
        <f>D26+K26+L26+M26+N26</f>
        <v>117413081.20048875</v>
      </c>
      <c r="P26" s="14">
        <f>F26-O26</f>
        <v>-19082155.802401319</v>
      </c>
    </row>
    <row r="27" spans="1:20">
      <c r="O27" s="18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方案一</vt:lpstr>
      <vt:lpstr>方案二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2015-09-13T21:27:27Z</dcterms:modified>
</cp:coreProperties>
</file>